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M - REGION\AOREGIONAL _FACTEURS DE COAGULATION\2025\03 - DOCUMENTS DE MARCHE\EN COURS\NOUVEAU\"/>
    </mc:Choice>
  </mc:AlternateContent>
  <workbookProtection workbookAlgorithmName="SHA-512" workbookHashValue="GWU/YwU5XzFXx9jgzv07ngGbmtfadiptfRT9lnYSt+kX60Zpf0x5xQj+HW4UxwIcXBBr9JHJpslBOsDx0nH10w==" workbookSaltValue="NBx4TSk9iRQbx27W7Cw7dQ==" workbookSpinCount="100000" lockStructure="1"/>
  <bookViews>
    <workbookView xWindow="-120" yWindow="-120" windowWidth="28110" windowHeight="16440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LOTS!$A$7:$D$7</definedName>
    <definedName name="_xlnm._FilterDatabase" localSheetId="0" hidden="1">QUANTITES!$A$8:$W$15</definedName>
    <definedName name="_xlnm._FilterDatabase" localSheetId="1" hidden="1">'SPECIMENS-ECHANTILLONS'!$A$8:$V$15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6" l="1"/>
  <c r="I16" i="1" l="1"/>
  <c r="F14" i="1"/>
  <c r="F15" i="1"/>
  <c r="G16" i="1" l="1"/>
  <c r="H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E16" i="1"/>
  <c r="F16" i="6" l="1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E10" i="6" l="1"/>
  <c r="E11" i="6"/>
  <c r="E12" i="6"/>
  <c r="E13" i="6"/>
  <c r="E14" i="6"/>
  <c r="E9" i="6"/>
  <c r="E16" i="6" l="1"/>
  <c r="C8" i="4"/>
  <c r="C9" i="4"/>
  <c r="D9" i="4" s="1"/>
  <c r="C10" i="4"/>
  <c r="D10" i="4" s="1"/>
  <c r="C11" i="4" l="1"/>
  <c r="D8" i="4"/>
  <c r="D11" i="4" s="1"/>
  <c r="F10" i="1"/>
  <c r="F11" i="1"/>
  <c r="F12" i="1"/>
  <c r="F13" i="1"/>
  <c r="F9" i="1"/>
  <c r="F16" i="1" l="1"/>
</calcChain>
</file>

<file path=xl/sharedStrings.xml><?xml version="1.0" encoding="utf-8"?>
<sst xmlns="http://schemas.openxmlformats.org/spreadsheetml/2006/main" count="108" uniqueCount="50">
  <si>
    <t>LOT</t>
  </si>
  <si>
    <t>LIBELLE DU LOT</t>
  </si>
  <si>
    <t>SOUS-LOT</t>
  </si>
  <si>
    <t>LIBELLE DU SOUS-LOT</t>
  </si>
  <si>
    <t>QUANTITE TOTALE
ESTIMATIVE</t>
  </si>
  <si>
    <r>
      <t xml:space="preserve">QUANTITES EXPRIMEES SUR </t>
    </r>
    <r>
      <rPr>
        <b/>
        <sz val="12"/>
        <color rgb="FFFF0000"/>
        <rFont val="Calibri"/>
        <family val="2"/>
        <scheme val="minor"/>
      </rPr>
      <t>12 MOIS</t>
    </r>
  </si>
  <si>
    <t>BRETAGNE OCCIDENTALE (29)</t>
  </si>
  <si>
    <t>C.H.U. DE BREST</t>
  </si>
  <si>
    <t>UNION HOSPITALIERE DE CORNOUAILLE (29)</t>
  </si>
  <si>
    <t>SUD BRETAGNE (56)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</si>
  <si>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</si>
  <si>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</si>
  <si>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</si>
  <si>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</si>
  <si>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</si>
  <si>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</si>
  <si>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>BROCELIANDE ATLANTIQUE (56)</t>
  </si>
  <si>
    <t>CENTRE BRETAGNE (56)</t>
  </si>
  <si>
    <t>RANCE EMERAUDE (35)</t>
  </si>
  <si>
    <t>QUANTITES PAR LOTS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</si>
  <si>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</si>
  <si>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</si>
  <si>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DU CENTRE-BRETAGNE
(PONTIVY)</t>
  </si>
  <si>
    <t xml:space="preserve"> C.H. ALPHONSE GUERIN
(PLOERMEL)</t>
  </si>
  <si>
    <t xml:space="preserve"> C.H. BRETAGNE ATLANTIQUE
(VANNES)</t>
  </si>
  <si>
    <t xml:space="preserve"> C.H. PIERRE LE DAMANY
(LANNION-TRESTEL) </t>
  </si>
  <si>
    <t>C.H. GUILLAUME REGNIER
(RENNES)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</si>
  <si>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</si>
  <si>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</si>
  <si>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</si>
  <si>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</si>
  <si>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>C.H. DES PAYS
DE MORLAIX</t>
  </si>
  <si>
    <t xml:space="preserve"> C.H.I. DE CORNOUAILLE
(QUIMPER-CONCARNEAU)</t>
  </si>
  <si>
    <t xml:space="preserve"> C.H. SIMONE VEIL
(VITRE)</t>
  </si>
  <si>
    <t xml:space="preserve"> G.H. BRETAGNE SUD
(LORIENT-CAUDAN
-QUIMPERLE)</t>
  </si>
  <si>
    <t>PPSB (COMPLEXE PROTHROMBIQUE)</t>
  </si>
  <si>
    <t>ANTITHROMBINE III</t>
  </si>
  <si>
    <t>FACTEUR VON WILLEBRAND PLASMATIQUE AVEC FACTEUR VIII ASSOCIE</t>
  </si>
  <si>
    <t>PPSB 250 UI</t>
  </si>
  <si>
    <t>PPSB 500 UI</t>
  </si>
  <si>
    <t>PPSB 1000 UI</t>
  </si>
  <si>
    <t>ANTITHROMBINE III 500 UI</t>
  </si>
  <si>
    <t>ANTITHROMBINE III 1000 UI</t>
  </si>
  <si>
    <t>PETIT DOSAGE</t>
  </si>
  <si>
    <t>GRAND DOSAGE</t>
  </si>
  <si>
    <t xml:space="preserve"> C.H. SAINT-BRIEUC - PAIMPOL - TREGUIER</t>
  </si>
  <si>
    <t>G.H. SAINT-MALO - DINAN - CANCALE</t>
  </si>
  <si>
    <t>QUANTITES ESTIMATIVES PAR ETABLISSEMENTS</t>
  </si>
  <si>
    <t>Marché public n°2025PHIE0022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</si>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</sst>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0" fillId="9" borderId="2" xfId="0" applyNumberForma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3" fontId="9" fillId="4" borderId="2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1" fillId="0" borderId="0" xfId="0" applyNumberFormat="1" applyFont="1" applyAlignment="1">
      <alignment horizontal="center" wrapText="1"/>
    </xf>
    <xf numFmtId="3" fontId="8" fillId="0" borderId="0" xfId="0" applyNumberFormat="1" applyFont="1" applyAlignment="1">
      <alignment horizontal="center" wrapText="1"/>
    </xf>
    <xf numFmtId="3" fontId="10" fillId="0" borderId="0" xfId="0" applyNumberFormat="1" applyFont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3" fontId="15" fillId="4" borderId="1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wrapText="1"/>
    </xf>
    <xf numFmtId="0" fontId="6" fillId="0" borderId="8" xfId="0" applyFont="1" applyBorder="1" applyAlignment="1">
      <alignment horizontal="right" wrapText="1"/>
    </xf>
    <xf numFmtId="3" fontId="11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right" wrapText="1"/>
    </xf>
  </cellXfs>
  <cellStyles count="1">
    <cellStyle name="Normal" xfId="0" builtinId="0"/>
  </cellStyles>
  <dxfs count="55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W15" totalsRowShown="0" headerRowDxfId="54" tableBorderDxfId="53">
  <autoFilter ref="A8:W15"/>
  <tableColumns count="23">
    <tableColumn id="2" name="LOT" dataDxfId="52"/>
    <tableColumn id="3" name="LIBELLE DU LOT" dataDxfId="51"/>
    <tableColumn id="4" name="SOUS-LOT" dataDxfId="50"/>
    <tableColumn id="5" name="LIBELLE DU SOUS-LOT" dataDxfId="49"/>
    <tableColumn id="6" name="QUANTITE TOTALE_x000a_ESTIMATIVE" dataDxfId="48"/>
    <tableColumn id="7" name="QUANTITE TOTALE_x000a_MAXIMALE_x000a_(coefficient 4)" dataDxfId="47">
      <calculatedColumnFormula>E9*4</calculatedColumnFormula>
    </tableColumn>
    <tableColumn id="8" name="C.H.U. DE BREST" dataDxfId="46"/>
    <tableColumn id="9" name="C.H. DES PAYS_x000a_DE MORLAIX" dataDxfId="45"/>
    <tableColumn id="10" name="C.H. FERDINAND GRALL_x000a_(LANDERNEAU)" dataDxfId="44"/>
    <tableColumn id="14" name=" C.H.I. DE CORNOUAILLE_x000a_(QUIMPER-CONCARNEAU)" dataDxfId="43"/>
    <tableColumn id="19" name=" G.H. BRETAGNE SUD_x000a_(LORIENT-CAUDAN_x000a_-QUIMPERLE)" dataDxfId="42"/>
    <tableColumn id="21" name=" C.H.U. DE RENNES" dataDxfId="41"/>
    <tableColumn id="22" name="C.H.I. DE REDON-CARENTOIR" dataDxfId="40"/>
    <tableColumn id="23" name=" C.H. SIMONE VEIL_x000a_(VITRE)" dataDxfId="39"/>
    <tableColumn id="29" name=" C.H. DE FOUGERES " dataDxfId="38"/>
    <tableColumn id="31" name="C.H. GUILLAUME REGNIER_x000a_(RENNES)" dataDxfId="37"/>
    <tableColumn id="32" name=" C.H. SAINT-BRIEUC - PAIMPOL - TREGUIER" dataDxfId="36"/>
    <tableColumn id="35" name=" C.H. DE GUINGAMP " dataDxfId="35"/>
    <tableColumn id="37" name=" C.H. PIERRE LE DAMANY_x000a_(LANNION-TRESTEL) " dataDxfId="34"/>
    <tableColumn id="38" name=" C.H. BRETAGNE ATLANTIQUE_x000a_(VANNES)" dataDxfId="33"/>
    <tableColumn id="40" name=" C.H. ALPHONSE GUERIN_x000a_(PLOERMEL)" dataDxfId="32"/>
    <tableColumn id="44" name=" C.H. DU CENTRE-BRETAGNE_x000a_(PONTIVY)" dataDxfId="31"/>
    <tableColumn id="47" name="G.H. SAINT-MALO - DINAN - CANCALE" dataDxfId="3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V15" totalsRowShown="0" headerRowDxfId="29" tableBorderDxfId="28">
  <autoFilter ref="A8:V15"/>
  <tableColumns count="22">
    <tableColumn id="2" name="LOT" dataDxfId="27"/>
    <tableColumn id="3" name="LIBELLE DU LOT" dataDxfId="26"/>
    <tableColumn id="4" name="SOUS-LOT" dataDxfId="25"/>
    <tableColumn id="5" name="LIBELLE DU SOUS-LOT" dataDxfId="24"/>
    <tableColumn id="6" name="TOTAL_x000a_SPECIMENS/ECHANTILLONS" dataDxfId="23">
      <calculatedColumnFormula>+SUM(F9:V9)</calculatedColumnFormula>
    </tableColumn>
    <tableColumn id="7" name="C.H.U. DE BREST" dataDxfId="22"/>
    <tableColumn id="8" name="C.H. DES PAYS_x000a_DE MORLAIX" dataDxfId="21"/>
    <tableColumn id="9" name="C.H. FERDINAND GRALL_x000a_(LANDERNEAU)" dataDxfId="20"/>
    <tableColumn id="13" name=" C.H.I. DE CORNOUAILLE_x000a_(QUIMPER-CONCARNEAU)" dataDxfId="19"/>
    <tableColumn id="18" name=" G.H. BRETAGNE SUD_x000a_(LORIENT-CAUDAN_x000a_-QUIMPERLE)" dataDxfId="18"/>
    <tableColumn id="20" name=" C.H.U. DE RENNES" dataDxfId="17"/>
    <tableColumn id="21" name="C.H.I. DE REDON-CARENTOIR" dataDxfId="16"/>
    <tableColumn id="22" name=" C.H. SIMONE VEIL_x000a_(VITRE)" dataDxfId="15"/>
    <tableColumn id="28" name=" C.H. DE FOUGERES " dataDxfId="14"/>
    <tableColumn id="30" name="C.H. GUILLAUME REGNIER_x000a_(RENNES)" dataDxfId="13"/>
    <tableColumn id="31" name=" C.H. SAINT-BRIEUC - PAIMPOL - TREGUIER" dataDxfId="12"/>
    <tableColumn id="34" name=" C.H. DE GUINGAMP " dataDxfId="11"/>
    <tableColumn id="36" name=" C.H. PIERRE LE DAMANY_x000a_(LANNION-TRESTEL) " dataDxfId="10"/>
    <tableColumn id="37" name=" C.H. BRETAGNE ATLANTIQUE_x000a_(VANNES)" dataDxfId="9"/>
    <tableColumn id="39" name=" C.H. ALPHONSE GUERIN_x000a_(PLOERMEL)" dataDxfId="8"/>
    <tableColumn id="43" name=" C.H. DU CENTRE-BRETAGNE_x000a_(PONTIVY)" dataDxfId="7"/>
    <tableColumn id="46" name="G.H. SAINT-MALO - DINAN - CANCALE" dataDxfId="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D10" totalsRowShown="0" headerRowDxfId="5" tableBorderDxfId="4">
  <autoFilter ref="A7:D10"/>
  <tableColumns count="4">
    <tableColumn id="2" name="LOT" dataDxfId="3"/>
    <tableColumn id="3" name="LIBELLE DU LOT" dataDxfId="2"/>
    <tableColumn id="4" name="QUANTITE TOTALE_x000a_ESTIMATIVE" dataDxfId="1">
      <calculatedColumnFormula>SUMIFS(QUANTITES!E:E,QUANTITES!A:A,LOTS!A8)</calculatedColumnFormula>
    </tableColumn>
    <tableColumn id="5" name="QUANTITE TOTALE_x000a_MAXIMALE_x000a_(coefficient 4)" dataDxfId="0">
      <calculatedColumnFormula>C8*4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showGridLines="0" tabSelected="1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G26" sqref="G26"/>
    </sheetView>
  </sheetViews>
  <sheetFormatPr baseColWidth="10" defaultRowHeight="15"/>
  <cols>
    <col min="1" max="1" width="9.7109375" style="1" bestFit="1" customWidth="1"/>
    <col min="2" max="2" width="60.7109375" style="36" customWidth="1"/>
    <col min="3" max="3" width="15.140625" style="1" bestFit="1" customWidth="1"/>
    <col min="4" max="4" width="60.7109375" style="36" customWidth="1"/>
    <col min="5" max="6" width="22.28515625" style="5" bestFit="1" customWidth="1"/>
    <col min="7" max="9" width="28.7109375" style="5" customWidth="1"/>
    <col min="10" max="10" width="59.42578125" style="5" bestFit="1" customWidth="1"/>
    <col min="11" max="22" width="28.7109375" style="5" customWidth="1"/>
    <col min="23" max="23" width="39.140625" style="5" bestFit="1" customWidth="1"/>
    <col min="24" max="16384" width="11.42578125" style="1"/>
  </cols>
  <sheetData>
    <row r="1" spans="1:23" ht="26.25">
      <c r="A1" s="48" t="s">
        <v>47</v>
      </c>
      <c r="B1" s="48"/>
      <c r="C1" s="48"/>
      <c r="D1" s="48"/>
      <c r="E1" s="48"/>
      <c r="F1" s="48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3.25">
      <c r="A2" s="49" t="s">
        <v>20</v>
      </c>
      <c r="B2" s="49"/>
      <c r="C2" s="49"/>
      <c r="D2" s="49"/>
      <c r="E2" s="49"/>
      <c r="F2" s="4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23.25">
      <c r="A3" s="52" t="s">
        <v>48</v>
      </c>
      <c r="B3" s="52"/>
      <c r="C3" s="52"/>
      <c r="D3" s="52"/>
      <c r="E3" s="52"/>
      <c r="F3" s="52"/>
      <c r="G3" s="19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5" spans="1:23" ht="15.75">
      <c r="A5" s="50" t="s">
        <v>49</v>
      </c>
      <c r="B5" s="50"/>
      <c r="C5" s="50"/>
      <c r="D5" s="50"/>
      <c r="E5" s="50"/>
      <c r="F5" s="50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7" spans="1:23" s="25" customFormat="1" ht="21" customHeight="1">
      <c r="A7" s="54"/>
      <c r="B7" s="54"/>
      <c r="C7" s="54"/>
      <c r="D7" s="54"/>
      <c r="E7" s="54"/>
      <c r="F7" s="54"/>
      <c r="G7" s="53" t="s">
        <v>6</v>
      </c>
      <c r="H7" s="53"/>
      <c r="I7" s="53"/>
      <c r="J7" s="38" t="s">
        <v>8</v>
      </c>
      <c r="K7" s="39" t="s">
        <v>9</v>
      </c>
      <c r="L7" s="55" t="s">
        <v>10</v>
      </c>
      <c r="M7" s="55"/>
      <c r="N7" s="55"/>
      <c r="O7" s="55"/>
      <c r="P7" s="55"/>
      <c r="Q7" s="53" t="s">
        <v>14</v>
      </c>
      <c r="R7" s="53"/>
      <c r="S7" s="53"/>
      <c r="T7" s="51" t="s">
        <v>16</v>
      </c>
      <c r="U7" s="51"/>
      <c r="V7" s="39" t="s">
        <v>17</v>
      </c>
      <c r="W7" s="37" t="s">
        <v>18</v>
      </c>
    </row>
    <row r="8" spans="1:23" s="4" customFormat="1" ht="45">
      <c r="A8" s="20" t="s">
        <v>0</v>
      </c>
      <c r="B8" s="24" t="s">
        <v>1</v>
      </c>
      <c r="C8" s="20" t="s">
        <v>2</v>
      </c>
      <c r="D8" s="24" t="s">
        <v>3</v>
      </c>
      <c r="E8" s="21" t="s">
        <v>4</v>
      </c>
      <c r="F8" s="42" t="s">
        <v>21</v>
      </c>
      <c r="G8" s="9" t="s">
        <v>7</v>
      </c>
      <c r="H8" s="9" t="s">
        <v>31</v>
      </c>
      <c r="I8" s="9" t="s">
        <v>27</v>
      </c>
      <c r="J8" s="10" t="s">
        <v>32</v>
      </c>
      <c r="K8" s="11" t="s">
        <v>34</v>
      </c>
      <c r="L8" s="13" t="s">
        <v>11</v>
      </c>
      <c r="M8" s="13" t="s">
        <v>12</v>
      </c>
      <c r="N8" s="13" t="s">
        <v>33</v>
      </c>
      <c r="O8" s="13" t="s">
        <v>13</v>
      </c>
      <c r="P8" s="13" t="s">
        <v>26</v>
      </c>
      <c r="Q8" s="9" t="s">
        <v>45</v>
      </c>
      <c r="R8" s="9" t="s">
        <v>15</v>
      </c>
      <c r="S8" s="9" t="s">
        <v>25</v>
      </c>
      <c r="T8" s="10" t="s">
        <v>24</v>
      </c>
      <c r="U8" s="10" t="s">
        <v>23</v>
      </c>
      <c r="V8" s="11" t="s">
        <v>22</v>
      </c>
      <c r="W8" s="41" t="s">
        <v>46</v>
      </c>
    </row>
    <row r="9" spans="1:23">
      <c r="A9" s="3">
        <v>1</v>
      </c>
      <c r="B9" s="35" t="s">
        <v>35</v>
      </c>
      <c r="C9" s="2">
        <v>1</v>
      </c>
      <c r="D9" s="2" t="s">
        <v>38</v>
      </c>
      <c r="E9" s="8">
        <v>63000</v>
      </c>
      <c r="F9" s="26">
        <f>E9*4</f>
        <v>252000</v>
      </c>
      <c r="G9" s="7">
        <v>58000</v>
      </c>
      <c r="H9" s="7">
        <v>4000</v>
      </c>
      <c r="I9" s="7"/>
      <c r="J9" s="6"/>
      <c r="K9" s="12"/>
      <c r="L9" s="14"/>
      <c r="M9" s="14"/>
      <c r="N9" s="14"/>
      <c r="O9" s="14"/>
      <c r="P9" s="14"/>
      <c r="Q9" s="7"/>
      <c r="R9" s="7"/>
      <c r="S9" s="7"/>
      <c r="T9" s="6"/>
      <c r="U9" s="6"/>
      <c r="V9" s="12">
        <v>1000</v>
      </c>
      <c r="W9" s="14"/>
    </row>
    <row r="10" spans="1:23">
      <c r="A10" s="3">
        <v>1</v>
      </c>
      <c r="B10" s="2" t="s">
        <v>35</v>
      </c>
      <c r="C10" s="2">
        <v>2</v>
      </c>
      <c r="D10" s="2" t="s">
        <v>39</v>
      </c>
      <c r="E10" s="8">
        <v>2101120</v>
      </c>
      <c r="F10" s="26">
        <f t="shared" ref="F10:F13" si="0">E10*4</f>
        <v>8404480</v>
      </c>
      <c r="G10" s="7">
        <v>75000</v>
      </c>
      <c r="H10" s="7">
        <v>105000</v>
      </c>
      <c r="I10" s="7">
        <v>13000</v>
      </c>
      <c r="J10" s="6">
        <v>97000</v>
      </c>
      <c r="K10" s="12">
        <v>60000</v>
      </c>
      <c r="L10" s="14">
        <v>420000</v>
      </c>
      <c r="M10" s="14">
        <v>50000</v>
      </c>
      <c r="N10" s="14">
        <v>40000</v>
      </c>
      <c r="O10" s="14">
        <v>55000</v>
      </c>
      <c r="P10" s="14"/>
      <c r="Q10" s="7">
        <v>435000</v>
      </c>
      <c r="R10" s="7">
        <v>120</v>
      </c>
      <c r="S10" s="7">
        <v>75000</v>
      </c>
      <c r="T10" s="6">
        <v>250000</v>
      </c>
      <c r="U10" s="6">
        <v>55000</v>
      </c>
      <c r="V10" s="12">
        <v>80000</v>
      </c>
      <c r="W10" s="14">
        <v>291000</v>
      </c>
    </row>
    <row r="11" spans="1:23">
      <c r="A11" s="3">
        <v>1</v>
      </c>
      <c r="B11" s="2" t="s">
        <v>35</v>
      </c>
      <c r="C11" s="2">
        <v>3</v>
      </c>
      <c r="D11" s="2" t="s">
        <v>40</v>
      </c>
      <c r="E11" s="8">
        <v>575000</v>
      </c>
      <c r="F11" s="26">
        <f t="shared" si="0"/>
        <v>2300000</v>
      </c>
      <c r="G11" s="7">
        <v>220000</v>
      </c>
      <c r="H11" s="7"/>
      <c r="I11" s="7">
        <v>5000</v>
      </c>
      <c r="J11" s="6">
        <v>130000</v>
      </c>
      <c r="K11" s="12">
        <v>125000</v>
      </c>
      <c r="L11" s="14">
        <v>90000</v>
      </c>
      <c r="M11" s="14"/>
      <c r="N11" s="14"/>
      <c r="O11" s="14"/>
      <c r="P11" s="14"/>
      <c r="Q11" s="7"/>
      <c r="R11" s="7"/>
      <c r="S11" s="7"/>
      <c r="T11" s="6"/>
      <c r="U11" s="6"/>
      <c r="V11" s="12">
        <v>5000</v>
      </c>
      <c r="W11" s="14"/>
    </row>
    <row r="12" spans="1:23">
      <c r="A12" s="3">
        <v>2</v>
      </c>
      <c r="B12" s="2" t="s">
        <v>36</v>
      </c>
      <c r="C12" s="2">
        <v>1</v>
      </c>
      <c r="D12" s="2" t="s">
        <v>41</v>
      </c>
      <c r="E12" s="8">
        <v>59002</v>
      </c>
      <c r="F12" s="26">
        <f t="shared" si="0"/>
        <v>236008</v>
      </c>
      <c r="G12" s="7">
        <v>10000</v>
      </c>
      <c r="H12" s="7">
        <v>500</v>
      </c>
      <c r="I12" s="7"/>
      <c r="J12" s="6">
        <v>5000</v>
      </c>
      <c r="K12" s="12"/>
      <c r="L12" s="14">
        <v>40000</v>
      </c>
      <c r="M12" s="14">
        <v>500</v>
      </c>
      <c r="N12" s="14"/>
      <c r="O12" s="14"/>
      <c r="P12" s="14"/>
      <c r="Q12" s="7">
        <v>2500</v>
      </c>
      <c r="R12" s="7"/>
      <c r="S12" s="7">
        <v>1</v>
      </c>
      <c r="T12" s="6"/>
      <c r="U12" s="6">
        <v>1</v>
      </c>
      <c r="V12" s="12">
        <v>500</v>
      </c>
      <c r="W12" s="14"/>
    </row>
    <row r="13" spans="1:23">
      <c r="A13" s="3">
        <v>2</v>
      </c>
      <c r="B13" s="2" t="s">
        <v>36</v>
      </c>
      <c r="C13" s="2">
        <v>2</v>
      </c>
      <c r="D13" s="2" t="s">
        <v>42</v>
      </c>
      <c r="E13" s="8">
        <v>356001</v>
      </c>
      <c r="F13" s="26">
        <f t="shared" si="0"/>
        <v>1424004</v>
      </c>
      <c r="G13" s="7">
        <v>20000</v>
      </c>
      <c r="H13" s="7">
        <v>5000</v>
      </c>
      <c r="I13" s="7"/>
      <c r="J13" s="6">
        <v>24000</v>
      </c>
      <c r="K13" s="12">
        <v>11000</v>
      </c>
      <c r="L13" s="14">
        <v>270000</v>
      </c>
      <c r="M13" s="14">
        <v>1000</v>
      </c>
      <c r="N13" s="14"/>
      <c r="O13" s="14"/>
      <c r="P13" s="14"/>
      <c r="Q13" s="7">
        <v>10000</v>
      </c>
      <c r="R13" s="7"/>
      <c r="S13" s="7">
        <v>1</v>
      </c>
      <c r="T13" s="6">
        <v>4000</v>
      </c>
      <c r="U13" s="6"/>
      <c r="V13" s="12">
        <v>1000</v>
      </c>
      <c r="W13" s="14">
        <v>10000</v>
      </c>
    </row>
    <row r="14" spans="1:23" ht="30">
      <c r="A14" s="40">
        <v>3</v>
      </c>
      <c r="B14" s="2" t="s">
        <v>37</v>
      </c>
      <c r="C14" s="2">
        <v>1</v>
      </c>
      <c r="D14" s="2" t="s">
        <v>43</v>
      </c>
      <c r="E14" s="8">
        <v>237</v>
      </c>
      <c r="F14" s="26">
        <f t="shared" ref="F14:F15" si="1">E14*4</f>
        <v>948</v>
      </c>
      <c r="G14" s="7">
        <v>150</v>
      </c>
      <c r="H14" s="7">
        <v>1</v>
      </c>
      <c r="I14" s="7"/>
      <c r="J14" s="6">
        <v>6</v>
      </c>
      <c r="K14" s="12">
        <v>15</v>
      </c>
      <c r="L14" s="14">
        <v>30</v>
      </c>
      <c r="M14" s="14">
        <v>1</v>
      </c>
      <c r="N14" s="14"/>
      <c r="O14" s="14">
        <v>1</v>
      </c>
      <c r="P14" s="14"/>
      <c r="Q14" s="7">
        <v>20</v>
      </c>
      <c r="R14" s="7"/>
      <c r="S14" s="7">
        <v>1</v>
      </c>
      <c r="T14" s="6">
        <v>10</v>
      </c>
      <c r="U14" s="6"/>
      <c r="V14" s="12">
        <v>1</v>
      </c>
      <c r="W14" s="14">
        <v>1</v>
      </c>
    </row>
    <row r="15" spans="1:23" ht="30">
      <c r="A15" s="40">
        <v>3</v>
      </c>
      <c r="B15" s="2" t="s">
        <v>37</v>
      </c>
      <c r="C15" s="2">
        <v>2</v>
      </c>
      <c r="D15" s="2" t="s">
        <v>44</v>
      </c>
      <c r="E15" s="8">
        <v>461</v>
      </c>
      <c r="F15" s="26">
        <f t="shared" si="1"/>
        <v>1844</v>
      </c>
      <c r="G15" s="7">
        <v>200</v>
      </c>
      <c r="H15" s="7">
        <v>1</v>
      </c>
      <c r="I15" s="7"/>
      <c r="J15" s="6">
        <v>3</v>
      </c>
      <c r="K15" s="12">
        <v>30</v>
      </c>
      <c r="L15" s="14">
        <v>150</v>
      </c>
      <c r="M15" s="14">
        <v>1</v>
      </c>
      <c r="N15" s="14">
        <v>30</v>
      </c>
      <c r="O15" s="14"/>
      <c r="P15" s="14"/>
      <c r="Q15" s="7">
        <v>30</v>
      </c>
      <c r="R15" s="7"/>
      <c r="S15" s="7">
        <v>1</v>
      </c>
      <c r="T15" s="6">
        <v>10</v>
      </c>
      <c r="U15" s="6"/>
      <c r="V15" s="12">
        <v>1</v>
      </c>
      <c r="W15" s="14">
        <v>4</v>
      </c>
    </row>
    <row r="16" spans="1:23">
      <c r="A16" s="4"/>
      <c r="B16" s="23"/>
      <c r="C16" s="4"/>
      <c r="D16" s="23"/>
      <c r="E16" s="22">
        <f>SUBTOTAL(9,Tableau1[QUANTITE TOTALE
ESTIMATIVE])</f>
        <v>3154821</v>
      </c>
      <c r="F16" s="22">
        <f>SUBTOTAL(9,Tableau1[QUANTITE TOTALE
MAXIMALE
(coefficient 4)])</f>
        <v>12619284</v>
      </c>
      <c r="G16" s="22">
        <f>SUBTOTAL(9,Tableau1[C.H.U. DE BREST])</f>
        <v>383350</v>
      </c>
      <c r="H16" s="22">
        <f>SUBTOTAL(9,Tableau1[C.H. DES PAYS
DE MORLAIX])</f>
        <v>114502</v>
      </c>
      <c r="I16" s="22">
        <f>SUBTOTAL(9,Tableau1[C.H. FERDINAND GRALL
(LANDERNEAU)])</f>
        <v>18000</v>
      </c>
      <c r="J16" s="22">
        <f>SUBTOTAL(9,Tableau1[ C.H.I. DE CORNOUAILLE
(QUIMPER-CONCARNEAU)])</f>
        <v>256009</v>
      </c>
      <c r="K16" s="22">
        <f>SUBTOTAL(9,Tableau1[ G.H. BRETAGNE SUD
(LORIENT-CAUDAN
-QUIMPERLE)])</f>
        <v>196045</v>
      </c>
      <c r="L16" s="22">
        <f>SUBTOTAL(9,Tableau1[ C.H.U. DE RENNES])</f>
        <v>820180</v>
      </c>
      <c r="M16" s="22">
        <f>SUBTOTAL(9,Tableau1[C.H.I. DE REDON-CARENTOIR])</f>
        <v>51502</v>
      </c>
      <c r="N16" s="22">
        <f>SUBTOTAL(9,Tableau1[ C.H. SIMONE VEIL
(VITRE)])</f>
        <v>40030</v>
      </c>
      <c r="O16" s="22">
        <f>SUBTOTAL(9,Tableau1[ C.H. DE FOUGERES ])</f>
        <v>55001</v>
      </c>
      <c r="P16" s="22">
        <f>SUBTOTAL(9,Tableau1[C.H. GUILLAUME REGNIER
(RENNES)])</f>
        <v>0</v>
      </c>
      <c r="Q16" s="22">
        <f>SUBTOTAL(9,Tableau1[ C.H. SAINT-BRIEUC - PAIMPOL - TREGUIER])</f>
        <v>447550</v>
      </c>
      <c r="R16" s="22">
        <f>SUBTOTAL(9,Tableau1[ C.H. DE GUINGAMP ])</f>
        <v>120</v>
      </c>
      <c r="S16" s="22">
        <f>SUBTOTAL(9,Tableau1[ C.H. PIERRE LE DAMANY
(LANNION-TRESTEL) ])</f>
        <v>75004</v>
      </c>
      <c r="T16" s="22">
        <f>SUBTOTAL(9,Tableau1[ C.H. BRETAGNE ATLANTIQUE
(VANNES)])</f>
        <v>254020</v>
      </c>
      <c r="U16" s="22">
        <f>SUBTOTAL(9,Tableau1[ C.H. ALPHONSE GUERIN
(PLOERMEL)])</f>
        <v>55001</v>
      </c>
      <c r="V16" s="22">
        <f>SUBTOTAL(9,Tableau1[ C.H. DU CENTRE-BRETAGNE
(PONTIVY)])</f>
        <v>87502</v>
      </c>
      <c r="W16" s="22">
        <f>SUBTOTAL(9,Tableau1[G.H. SAINT-MALO - DINAN - CANCALE])</f>
        <v>301005</v>
      </c>
    </row>
  </sheetData>
  <sheetProtection algorithmName="SHA-512" hashValue="9IUoqHKzvN3F3xusNmxYCR4oj8FLuuWeVPAT7hsrXrc7Jn6Cc47o/vA54xRhefmTkZHIh23/yrHU5yH56GQL3g==" saltValue="gpmFAGWNSmmDu+u+Cly1pA==" spinCount="100000" sheet="1" formatCells="0" formatColumns="0" formatRows="0" sort="0" autoFilter="0" pivotTables="0"/>
  <mergeCells count="9">
    <mergeCell ref="A1:F1"/>
    <mergeCell ref="A2:F2"/>
    <mergeCell ref="A5:F5"/>
    <mergeCell ref="T7:U7"/>
    <mergeCell ref="A3:F3"/>
    <mergeCell ref="G7:I7"/>
    <mergeCell ref="A7:F7"/>
    <mergeCell ref="Q7:S7"/>
    <mergeCell ref="L7:P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showGridLines="0" zoomScale="85" zoomScaleNormal="85" workbookViewId="0">
      <pane xSplit="5" ySplit="8" topLeftCell="F9" activePane="bottomRight" state="frozen"/>
      <selection pane="topRight" activeCell="H1" sqref="H1"/>
      <selection pane="bottomLeft" activeCell="A9" sqref="A9"/>
      <selection pane="bottomRight" activeCell="C9" sqref="C9"/>
    </sheetView>
  </sheetViews>
  <sheetFormatPr baseColWidth="10" defaultRowHeight="15"/>
  <cols>
    <col min="1" max="1" width="9.7109375" style="1" bestFit="1" customWidth="1"/>
    <col min="2" max="2" width="60.7109375" style="36" customWidth="1"/>
    <col min="3" max="3" width="15.140625" style="1" bestFit="1" customWidth="1"/>
    <col min="4" max="4" width="60.7109375" style="36" customWidth="1"/>
    <col min="5" max="5" width="30.140625" style="5" bestFit="1" customWidth="1"/>
    <col min="6" max="8" width="28.7109375" style="16" customWidth="1"/>
    <col min="9" max="9" width="59.42578125" style="5" bestFit="1" customWidth="1"/>
    <col min="10" max="20" width="28.7109375" style="5" customWidth="1"/>
    <col min="21" max="21" width="31.85546875" style="5" bestFit="1" customWidth="1"/>
    <col min="22" max="22" width="39.140625" style="5" bestFit="1" customWidth="1"/>
    <col min="23" max="16384" width="11.42578125" style="1"/>
  </cols>
  <sheetData>
    <row r="1" spans="1:22" ht="26.25">
      <c r="A1" s="48" t="s">
        <v>29</v>
      </c>
      <c r="B1" s="48"/>
      <c r="C1" s="48"/>
      <c r="D1" s="48"/>
      <c r="E1" s="48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23.25">
      <c r="A2" s="49" t="s">
        <v>20</v>
      </c>
      <c r="B2" s="49"/>
      <c r="C2" s="49"/>
      <c r="D2" s="49"/>
      <c r="E2" s="4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23.25">
      <c r="A3" s="52" t="s">
        <v>48</v>
      </c>
      <c r="B3" s="52"/>
      <c r="C3" s="52"/>
      <c r="D3" s="52"/>
      <c r="E3" s="52"/>
      <c r="F3" s="43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>
      <c r="A4" s="36"/>
      <c r="B4" s="1"/>
      <c r="C4" s="36"/>
      <c r="D4" s="1"/>
      <c r="E4" s="36"/>
      <c r="F4" s="5"/>
    </row>
    <row r="5" spans="1:22" ht="15.75">
      <c r="A5" s="50" t="s">
        <v>28</v>
      </c>
      <c r="B5" s="50"/>
      <c r="C5" s="50"/>
      <c r="D5" s="50"/>
      <c r="E5" s="50"/>
      <c r="F5" s="19"/>
    </row>
    <row r="7" spans="1:22" s="25" customFormat="1" ht="21" customHeight="1">
      <c r="A7" s="56"/>
      <c r="B7" s="56"/>
      <c r="C7" s="56"/>
      <c r="D7" s="56"/>
      <c r="E7" s="56"/>
      <c r="F7" s="53" t="s">
        <v>6</v>
      </c>
      <c r="G7" s="53"/>
      <c r="H7" s="53"/>
      <c r="I7" s="38" t="s">
        <v>8</v>
      </c>
      <c r="J7" s="39" t="s">
        <v>9</v>
      </c>
      <c r="K7" s="55" t="s">
        <v>10</v>
      </c>
      <c r="L7" s="55"/>
      <c r="M7" s="55"/>
      <c r="N7" s="55"/>
      <c r="O7" s="55"/>
      <c r="P7" s="53" t="s">
        <v>14</v>
      </c>
      <c r="Q7" s="53"/>
      <c r="R7" s="53"/>
      <c r="S7" s="51" t="s">
        <v>16</v>
      </c>
      <c r="T7" s="51"/>
      <c r="U7" s="39" t="s">
        <v>17</v>
      </c>
      <c r="V7" s="37" t="s">
        <v>18</v>
      </c>
    </row>
    <row r="8" spans="1:22" s="4" customFormat="1" ht="45">
      <c r="A8" s="20" t="s">
        <v>0</v>
      </c>
      <c r="B8" s="24" t="s">
        <v>1</v>
      </c>
      <c r="C8" s="20" t="s">
        <v>2</v>
      </c>
      <c r="D8" s="24" t="s">
        <v>3</v>
      </c>
      <c r="E8" s="21" t="s">
        <v>30</v>
      </c>
      <c r="F8" s="9" t="s">
        <v>7</v>
      </c>
      <c r="G8" s="9" t="s">
        <v>31</v>
      </c>
      <c r="H8" s="9" t="s">
        <v>27</v>
      </c>
      <c r="I8" s="10" t="s">
        <v>32</v>
      </c>
      <c r="J8" s="11" t="s">
        <v>34</v>
      </c>
      <c r="K8" s="13" t="s">
        <v>11</v>
      </c>
      <c r="L8" s="13" t="s">
        <v>12</v>
      </c>
      <c r="M8" s="13" t="s">
        <v>33</v>
      </c>
      <c r="N8" s="13" t="s">
        <v>13</v>
      </c>
      <c r="O8" s="13" t="s">
        <v>26</v>
      </c>
      <c r="P8" s="9" t="s">
        <v>45</v>
      </c>
      <c r="Q8" s="9" t="s">
        <v>15</v>
      </c>
      <c r="R8" s="9" t="s">
        <v>25</v>
      </c>
      <c r="S8" s="10" t="s">
        <v>24</v>
      </c>
      <c r="T8" s="10" t="s">
        <v>23</v>
      </c>
      <c r="U8" s="11" t="s">
        <v>22</v>
      </c>
      <c r="V8" s="41" t="s">
        <v>46</v>
      </c>
    </row>
    <row r="9" spans="1:22">
      <c r="A9" s="3">
        <v>1</v>
      </c>
      <c r="B9" s="35" t="s">
        <v>35</v>
      </c>
      <c r="C9" s="2">
        <v>1</v>
      </c>
      <c r="D9" s="2" t="s">
        <v>38</v>
      </c>
      <c r="E9" s="8">
        <f t="shared" ref="E9:E15" si="0">+SUM(F9:V9)</f>
        <v>0</v>
      </c>
      <c r="F9" s="15"/>
      <c r="G9" s="15"/>
      <c r="H9" s="15"/>
      <c r="I9" s="6"/>
      <c r="J9" s="12"/>
      <c r="K9" s="14"/>
      <c r="L9" s="14"/>
      <c r="M9" s="14"/>
      <c r="N9" s="14"/>
      <c r="O9" s="14"/>
      <c r="P9" s="7"/>
      <c r="Q9" s="7"/>
      <c r="R9" s="7"/>
      <c r="S9" s="6"/>
      <c r="T9" s="6"/>
      <c r="U9" s="12"/>
      <c r="V9" s="14"/>
    </row>
    <row r="10" spans="1:22">
      <c r="A10" s="3">
        <v>1</v>
      </c>
      <c r="B10" s="2" t="s">
        <v>35</v>
      </c>
      <c r="C10" s="2">
        <v>2</v>
      </c>
      <c r="D10" s="2" t="s">
        <v>39</v>
      </c>
      <c r="E10" s="8">
        <f t="shared" si="0"/>
        <v>0</v>
      </c>
      <c r="F10" s="15"/>
      <c r="G10" s="15"/>
      <c r="H10" s="15"/>
      <c r="I10" s="6"/>
      <c r="J10" s="12"/>
      <c r="K10" s="14"/>
      <c r="L10" s="14"/>
      <c r="M10" s="14"/>
      <c r="N10" s="14"/>
      <c r="O10" s="14"/>
      <c r="P10" s="7"/>
      <c r="Q10" s="7"/>
      <c r="R10" s="7"/>
      <c r="S10" s="6"/>
      <c r="T10" s="6"/>
      <c r="U10" s="12"/>
      <c r="V10" s="14"/>
    </row>
    <row r="11" spans="1:22">
      <c r="A11" s="3">
        <v>1</v>
      </c>
      <c r="B11" s="2" t="s">
        <v>35</v>
      </c>
      <c r="C11" s="2">
        <v>3</v>
      </c>
      <c r="D11" s="2" t="s">
        <v>40</v>
      </c>
      <c r="E11" s="8">
        <f t="shared" si="0"/>
        <v>0</v>
      </c>
      <c r="F11" s="15"/>
      <c r="G11" s="15"/>
      <c r="H11" s="15"/>
      <c r="I11" s="6"/>
      <c r="J11" s="12"/>
      <c r="K11" s="14"/>
      <c r="L11" s="14"/>
      <c r="M11" s="14"/>
      <c r="N11" s="14"/>
      <c r="O11" s="14"/>
      <c r="P11" s="7"/>
      <c r="Q11" s="7"/>
      <c r="R11" s="7"/>
      <c r="S11" s="6"/>
      <c r="T11" s="6"/>
      <c r="U11" s="12"/>
      <c r="V11" s="14"/>
    </row>
    <row r="12" spans="1:22">
      <c r="A12" s="3">
        <v>2</v>
      </c>
      <c r="B12" s="2" t="s">
        <v>36</v>
      </c>
      <c r="C12" s="2">
        <v>1</v>
      </c>
      <c r="D12" s="2" t="s">
        <v>41</v>
      </c>
      <c r="E12" s="8">
        <f t="shared" si="0"/>
        <v>0</v>
      </c>
      <c r="F12" s="15"/>
      <c r="G12" s="15"/>
      <c r="H12" s="15"/>
      <c r="I12" s="6"/>
      <c r="J12" s="12"/>
      <c r="K12" s="14"/>
      <c r="L12" s="14"/>
      <c r="M12" s="14"/>
      <c r="N12" s="14"/>
      <c r="O12" s="14"/>
      <c r="P12" s="7"/>
      <c r="Q12" s="7"/>
      <c r="R12" s="7"/>
      <c r="S12" s="6"/>
      <c r="T12" s="6"/>
      <c r="U12" s="12"/>
      <c r="V12" s="14"/>
    </row>
    <row r="13" spans="1:22">
      <c r="A13" s="3">
        <v>2</v>
      </c>
      <c r="B13" s="2" t="s">
        <v>36</v>
      </c>
      <c r="C13" s="2">
        <v>2</v>
      </c>
      <c r="D13" s="2" t="s">
        <v>42</v>
      </c>
      <c r="E13" s="8">
        <f t="shared" si="0"/>
        <v>0</v>
      </c>
      <c r="F13" s="15"/>
      <c r="G13" s="15"/>
      <c r="H13" s="15"/>
      <c r="I13" s="6"/>
      <c r="J13" s="12"/>
      <c r="K13" s="14"/>
      <c r="L13" s="14"/>
      <c r="M13" s="14"/>
      <c r="N13" s="14"/>
      <c r="O13" s="14"/>
      <c r="P13" s="7"/>
      <c r="Q13" s="7"/>
      <c r="R13" s="7"/>
      <c r="S13" s="6"/>
      <c r="T13" s="6"/>
      <c r="U13" s="12"/>
      <c r="V13" s="14"/>
    </row>
    <row r="14" spans="1:22" ht="30">
      <c r="A14" s="40">
        <v>3</v>
      </c>
      <c r="B14" s="2" t="s">
        <v>37</v>
      </c>
      <c r="C14" s="2">
        <v>1</v>
      </c>
      <c r="D14" s="2" t="s">
        <v>43</v>
      </c>
      <c r="E14" s="27">
        <f t="shared" si="0"/>
        <v>0</v>
      </c>
      <c r="F14" s="32"/>
      <c r="G14" s="32"/>
      <c r="H14" s="32"/>
      <c r="I14" s="29"/>
      <c r="J14" s="30"/>
      <c r="K14" s="31"/>
      <c r="L14" s="31"/>
      <c r="M14" s="31"/>
      <c r="N14" s="31"/>
      <c r="O14" s="31"/>
      <c r="P14" s="28"/>
      <c r="Q14" s="28"/>
      <c r="R14" s="28"/>
      <c r="S14" s="29"/>
      <c r="T14" s="29"/>
      <c r="U14" s="30"/>
      <c r="V14" s="31"/>
    </row>
    <row r="15" spans="1:22" s="4" customFormat="1" ht="30">
      <c r="A15" s="40">
        <v>3</v>
      </c>
      <c r="B15" s="2" t="s">
        <v>37</v>
      </c>
      <c r="C15" s="2">
        <v>2</v>
      </c>
      <c r="D15" s="2" t="s">
        <v>44</v>
      </c>
      <c r="E15" s="8">
        <f t="shared" si="0"/>
        <v>0</v>
      </c>
      <c r="F15" s="44"/>
      <c r="G15" s="44"/>
      <c r="H15" s="44"/>
      <c r="I15" s="6"/>
      <c r="J15" s="12"/>
      <c r="K15" s="14"/>
      <c r="L15" s="14"/>
      <c r="M15" s="14"/>
      <c r="N15" s="14"/>
      <c r="O15" s="14"/>
      <c r="P15" s="7"/>
      <c r="Q15" s="7"/>
      <c r="R15" s="7"/>
      <c r="S15" s="6"/>
      <c r="T15" s="6"/>
      <c r="U15" s="12"/>
      <c r="V15" s="14"/>
    </row>
    <row r="16" spans="1:22">
      <c r="A16" s="4"/>
      <c r="B16" s="23"/>
      <c r="C16" s="4"/>
      <c r="D16" s="23"/>
      <c r="E16" s="22">
        <f>SUBTOTAL(9,Tableau2[TOTAL
SPECIMENS/ECHANTILLONS])</f>
        <v>0</v>
      </c>
      <c r="F16" s="22">
        <f>SUBTOTAL(9,Tableau2[C.H.U. DE BREST])</f>
        <v>0</v>
      </c>
      <c r="G16" s="22">
        <f>SUBTOTAL(9,Tableau2[C.H. DES PAYS
DE MORLAIX])</f>
        <v>0</v>
      </c>
      <c r="H16" s="22">
        <f>SUBTOTAL(9,Tableau2[C.H. FERDINAND GRALL
(LANDERNEAU)])</f>
        <v>0</v>
      </c>
      <c r="I16" s="22">
        <f>SUBTOTAL(9,Tableau2[ C.H.I. DE CORNOUAILLE
(QUIMPER-CONCARNEAU)])</f>
        <v>0</v>
      </c>
      <c r="J16" s="22">
        <f>SUBTOTAL(9,Tableau2[ G.H. BRETAGNE SUD
(LORIENT-CAUDAN
-QUIMPERLE)])</f>
        <v>0</v>
      </c>
      <c r="K16" s="22">
        <f>SUBTOTAL(9,Tableau2[ C.H.U. DE RENNES])</f>
        <v>0</v>
      </c>
      <c r="L16" s="22">
        <f>SUBTOTAL(9,Tableau2[C.H.I. DE REDON-CARENTOIR])</f>
        <v>0</v>
      </c>
      <c r="M16" s="22">
        <f>SUBTOTAL(9,Tableau2[ C.H. SIMONE VEIL
(VITRE)])</f>
        <v>0</v>
      </c>
      <c r="N16" s="22">
        <f>SUBTOTAL(9,Tableau2[ C.H. DE FOUGERES ])</f>
        <v>0</v>
      </c>
      <c r="O16" s="22">
        <f>SUBTOTAL(9,Tableau2[C.H. GUILLAUME REGNIER
(RENNES)])</f>
        <v>0</v>
      </c>
      <c r="P16" s="22">
        <f>SUBTOTAL(9,Tableau2[ C.H. SAINT-BRIEUC - PAIMPOL - TREGUIER])</f>
        <v>0</v>
      </c>
      <c r="Q16" s="22">
        <f>SUBTOTAL(9,Tableau2[ C.H. DE GUINGAMP ])</f>
        <v>0</v>
      </c>
      <c r="R16" s="22">
        <f>SUBTOTAL(9,Tableau2[ C.H. PIERRE LE DAMANY
(LANNION-TRESTEL) ])</f>
        <v>0</v>
      </c>
      <c r="S16" s="22">
        <f>SUBTOTAL(9,Tableau2[ C.H. BRETAGNE ATLANTIQUE
(VANNES)])</f>
        <v>0</v>
      </c>
      <c r="T16" s="22">
        <f>SUBTOTAL(9,Tableau2[ C.H. ALPHONSE GUERIN
(PLOERMEL)])</f>
        <v>0</v>
      </c>
      <c r="U16" s="22">
        <f>SUBTOTAL(9,Tableau2[ C.H. DU CENTRE-BRETAGNE
(PONTIVY)])</f>
        <v>0</v>
      </c>
      <c r="V16" s="22">
        <f>SUBTOTAL(9,Tableau2[G.H. SAINT-MALO - DINAN - CANCALE])</f>
        <v>0</v>
      </c>
    </row>
  </sheetData>
  <sheetProtection algorithmName="SHA-512" hashValue="VdsX6NdHly99LmehUIbHHdysSGJVSkqzez926vc14Ox2zEtttqPSqzbqZcV/fd6OM5wT1rOIEUlJ09GT/vQVUw==" saltValue="VlVondFFHYdGJRgqvsbUog==" spinCount="100000" sheet="1" formatCells="0" formatColumns="0" formatRows="0" sort="0" autoFilter="0" pivotTables="0"/>
  <mergeCells count="9">
    <mergeCell ref="K7:O7"/>
    <mergeCell ref="P7:R7"/>
    <mergeCell ref="S7:T7"/>
    <mergeCell ref="F7:H7"/>
    <mergeCell ref="A1:E1"/>
    <mergeCell ref="A2:E2"/>
    <mergeCell ref="A3:E3"/>
    <mergeCell ref="A7:E7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="85" zoomScaleNormal="85" workbookViewId="0">
      <pane ySplit="7" topLeftCell="A8" activePane="bottomLeft" state="frozen"/>
      <selection pane="bottomLeft" activeCell="E1" sqref="E1"/>
    </sheetView>
  </sheetViews>
  <sheetFormatPr baseColWidth="10" defaultRowHeight="15"/>
  <cols>
    <col min="1" max="1" width="9.7109375" style="1" bestFit="1" customWidth="1"/>
    <col min="2" max="2" width="60.7109375" style="36" customWidth="1"/>
    <col min="3" max="4" width="22.28515625" style="5" bestFit="1" customWidth="1"/>
    <col min="5" max="16384" width="11.42578125" style="1"/>
  </cols>
  <sheetData>
    <row r="1" spans="1:5" ht="26.25">
      <c r="A1" s="48" t="s">
        <v>19</v>
      </c>
      <c r="B1" s="48"/>
      <c r="C1" s="48"/>
      <c r="D1" s="48"/>
      <c r="E1" s="17"/>
    </row>
    <row r="2" spans="1:5" ht="23.25">
      <c r="A2" s="49" t="s">
        <v>20</v>
      </c>
      <c r="B2" s="49"/>
      <c r="C2" s="49"/>
      <c r="D2" s="49"/>
      <c r="E2" s="18"/>
    </row>
    <row r="3" spans="1:5" ht="15.75">
      <c r="A3" s="52" t="s">
        <v>48</v>
      </c>
      <c r="B3" s="52"/>
      <c r="C3" s="52"/>
      <c r="D3" s="52"/>
      <c r="E3" s="43"/>
    </row>
    <row r="4" spans="1:5">
      <c r="A4" s="36"/>
      <c r="B4" s="1"/>
      <c r="C4" s="36"/>
      <c r="E4" s="5"/>
    </row>
    <row r="5" spans="1:5" ht="15.75">
      <c r="A5" s="50" t="s">
        <v>5</v>
      </c>
      <c r="B5" s="50"/>
      <c r="C5" s="50"/>
      <c r="D5" s="50"/>
      <c r="E5" s="19"/>
    </row>
    <row r="7" spans="1:5" s="23" customFormat="1" ht="45">
      <c r="A7" s="33" t="s">
        <v>0</v>
      </c>
      <c r="B7" s="33" t="s">
        <v>1</v>
      </c>
      <c r="C7" s="34" t="s">
        <v>4</v>
      </c>
      <c r="D7" s="45" t="s">
        <v>21</v>
      </c>
    </row>
    <row r="8" spans="1:5">
      <c r="A8" s="3">
        <v>1</v>
      </c>
      <c r="B8" s="35" t="s">
        <v>35</v>
      </c>
      <c r="C8" s="8">
        <f>SUMIFS(QUANTITES!E:E,QUANTITES!A:A,LOTS!A8)</f>
        <v>2739120</v>
      </c>
      <c r="D8" s="46">
        <f t="shared" ref="D8:D10" si="0">C8*4</f>
        <v>10956480</v>
      </c>
    </row>
    <row r="9" spans="1:5">
      <c r="A9" s="3">
        <v>2</v>
      </c>
      <c r="B9" s="2" t="s">
        <v>36</v>
      </c>
      <c r="C9" s="8">
        <f>SUMIFS(QUANTITES!E:E,QUANTITES!A:A,LOTS!A9)</f>
        <v>415003</v>
      </c>
      <c r="D9" s="46">
        <f t="shared" si="0"/>
        <v>1660012</v>
      </c>
    </row>
    <row r="10" spans="1:5" ht="30">
      <c r="A10" s="40">
        <v>3</v>
      </c>
      <c r="B10" s="2" t="s">
        <v>37</v>
      </c>
      <c r="C10" s="27">
        <f>SUMIFS(QUANTITES!E:E,QUANTITES!A:A,LOTS!A10)</f>
        <v>698</v>
      </c>
      <c r="D10" s="47">
        <f t="shared" si="0"/>
        <v>2792</v>
      </c>
    </row>
    <row r="11" spans="1:5">
      <c r="A11" s="4"/>
      <c r="B11" s="23"/>
      <c r="C11" s="22">
        <f>SUBTOTAL(9,Tableau3[QUANTITE TOTALE
ESTIMATIVE])</f>
        <v>3154821</v>
      </c>
      <c r="D11" s="22">
        <f>SUBTOTAL(9,Tableau3[QUANTITE TOTALE
MAXIMALE
(coefficient 4)])</f>
        <v>12619284</v>
      </c>
    </row>
  </sheetData>
  <sheetProtection algorithmName="SHA-512" hashValue="VmJWoveP9j5zV7mk5JYZt0rmoEsIq2vYr81q1E2A3eELDWjX91ufsTmBMXhA2RHMF8Im2Nz3JstRLs6X2PdibQ==" saltValue="/zwZJNj3jKkqoptdsDVbCw==" spinCount="100000" sheet="1" formatCells="0" formatColumns="0" formatRows="0" sort="0" autoFilter="0" pivotTables="0"/>
  <mergeCells count="4">
    <mergeCell ref="A1:D1"/>
    <mergeCell ref="A2:D2"/>
    <mergeCell ref="A3:D3"/>
    <mergeCell ref="A5:D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2025-03-12T14:30:44Z</dcterms:modified>
</cp:coreProperties>
</file>